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1080" yWindow="0" windowWidth="25600" windowHeight="16060"/>
  </bookViews>
  <sheets>
    <sheet name="расшифровка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2" l="1"/>
  <c r="G31" i="2"/>
  <c r="G17" i="2"/>
  <c r="F49" i="2"/>
  <c r="G47" i="2"/>
  <c r="G46" i="2"/>
  <c r="G44" i="2"/>
  <c r="G43" i="2"/>
  <c r="E30" i="2"/>
  <c r="E28" i="2"/>
  <c r="E27" i="2"/>
  <c r="E25" i="2"/>
  <c r="E26" i="2"/>
  <c r="E23" i="2"/>
  <c r="E22" i="2"/>
  <c r="E21" i="2"/>
  <c r="E20" i="2"/>
  <c r="G16" i="2"/>
  <c r="G15" i="2"/>
  <c r="G13" i="2"/>
  <c r="G11" i="2"/>
  <c r="G10" i="2"/>
  <c r="G9" i="2"/>
  <c r="G8" i="2"/>
  <c r="G7" i="2"/>
  <c r="G6" i="2"/>
  <c r="F20" i="2"/>
  <c r="G20" i="2"/>
  <c r="G21" i="2"/>
  <c r="G22" i="2"/>
  <c r="G23" i="2"/>
  <c r="F25" i="2"/>
  <c r="G25" i="2"/>
  <c r="F26" i="2"/>
  <c r="G26" i="2"/>
  <c r="G27" i="2"/>
  <c r="G28" i="2"/>
  <c r="G30" i="2"/>
  <c r="F33" i="2"/>
  <c r="G33" i="2"/>
  <c r="G34" i="2"/>
  <c r="F35" i="2"/>
  <c r="G35" i="2"/>
  <c r="F36" i="2"/>
  <c r="G36" i="2"/>
  <c r="F37" i="2"/>
  <c r="G37" i="2"/>
  <c r="G38" i="2"/>
  <c r="F39" i="2"/>
  <c r="G39" i="2"/>
  <c r="G40" i="2"/>
  <c r="G41" i="2"/>
  <c r="G51" i="2"/>
</calcChain>
</file>

<file path=xl/sharedStrings.xml><?xml version="1.0" encoding="utf-8"?>
<sst xmlns="http://schemas.openxmlformats.org/spreadsheetml/2006/main" count="75" uniqueCount="59">
  <si>
    <t>Аварийно-диспетчерская служба</t>
  </si>
  <si>
    <t>Наименование работ</t>
  </si>
  <si>
    <t>ед. изм</t>
  </si>
  <si>
    <t>Объем</t>
  </si>
  <si>
    <t>з/плата</t>
  </si>
  <si>
    <t>материалы, руб</t>
  </si>
  <si>
    <t>Итого стоимость работ, руб</t>
  </si>
  <si>
    <t>№ п/п</t>
  </si>
  <si>
    <t>Контроль за техническим состоянием инженерно-технического обеспечения МКД</t>
  </si>
  <si>
    <t>Работы и услуги по содержанию иного имущества МКД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</si>
  <si>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</si>
  <si>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</si>
  <si>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</si>
  <si>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</si>
  <si>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</si>
  <si>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</si>
  <si>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</si>
  <si>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</si>
  <si>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</si>
  <si>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</si>
  <si>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</si>
  <si>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Общие работы, выполняемые для надлежащего содержания систем водоснабжения, отопления и водоотведения</t>
  </si>
  <si>
    <t>Проверка исправности и работоспособности:</t>
  </si>
  <si>
    <t>водоснабжения и водоотведения</t>
  </si>
  <si>
    <t>отопления (в отопительный период)</t>
  </si>
  <si>
    <t>Работы, выполняемые в целях надлежащего содержания систем электрооборудования</t>
  </si>
  <si>
    <t>Работы, выполняемые в целях надлежащего содержания систем теплоснабжения</t>
  </si>
  <si>
    <t>Промывка и регулировка системы отопления</t>
  </si>
  <si>
    <t>Проверка и обеспечение работоспособности электрооборудования</t>
  </si>
  <si>
    <t>Итого</t>
  </si>
  <si>
    <t>Влажная протирка элементов</t>
  </si>
  <si>
    <t>Замена ламп</t>
  </si>
  <si>
    <t>шт</t>
  </si>
  <si>
    <t>Долг на 01/05/2019</t>
  </si>
  <si>
    <t>Влажная уборка (мытье) лестничных площадок, маршей</t>
  </si>
  <si>
    <t xml:space="preserve">Уборка контейнерной площадки </t>
  </si>
  <si>
    <t>Уборка крыльца, площадки перед входом в подъезд</t>
  </si>
  <si>
    <t>Расходы на управление, почтово-банковские расходы, ИРЦ</t>
  </si>
  <si>
    <t>обслуживание узла учета тепловой энергии</t>
  </si>
  <si>
    <t>аварийный ремонт водосточки с помощью автовышки</t>
  </si>
  <si>
    <t>поверка приборов учета тепловой энергии</t>
  </si>
  <si>
    <t>ревизия наружного освещения с обтяжкой эл/контактов, заменой сгоревших ламп с помощью автовышки</t>
  </si>
  <si>
    <t>Коммунальные услуги для содержания общего имущества (ОДН)</t>
  </si>
  <si>
    <t>холодное водоснабжение</t>
  </si>
  <si>
    <t>электрическая энергия</t>
  </si>
  <si>
    <t>Дополнительные работы</t>
  </si>
  <si>
    <t>Переустройство контейнерной площадки</t>
  </si>
  <si>
    <t>Ремонт лежака</t>
  </si>
  <si>
    <t>м</t>
  </si>
  <si>
    <t>Герметизация примыкания к вент.шахте</t>
  </si>
  <si>
    <t>Ремонт освещения тамбура</t>
  </si>
  <si>
    <t>Изготовление ограждения контейнерной площадки</t>
  </si>
  <si>
    <t>Бак</t>
  </si>
  <si>
    <t>Стоимость выполненных работ по текущему ремонту и содержанию жилого дома №6 по ул. Тихоокеанская</t>
  </si>
  <si>
    <t>Итого по Тихоокеанская, 6</t>
  </si>
  <si>
    <t>Окраска масл сост больших мет-х поверхностей контейнеров</t>
  </si>
  <si>
    <t>Розетка лезард</t>
  </si>
  <si>
    <t>по плану</t>
  </si>
  <si>
    <t>обслуживание, осмотр, чистка наружной и домовой системы канализации (септик-бочка)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</si>
</sst>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1"/>
      <color rgb="FFFF0000"/>
      <name val="Calibri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0" fillId="0" borderId="4" xfId="0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0" fillId="0" borderId="1" xfId="0" applyFont="1" applyFill="1" applyBorder="1"/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/>
    <xf numFmtId="0" fontId="0" fillId="0" borderId="3" xfId="0" applyFont="1" applyFill="1" applyBorder="1"/>
    <xf numFmtId="4" fontId="7" fillId="0" borderId="4" xfId="0" applyNumberFormat="1" applyFont="1" applyFill="1" applyBorder="1" applyAlignment="1">
      <alignment horizontal="right" vertical="center"/>
    </xf>
    <xf numFmtId="0" fontId="0" fillId="0" borderId="2" xfId="0" applyFont="1" applyFill="1" applyBorder="1"/>
    <xf numFmtId="0" fontId="1" fillId="0" borderId="2" xfId="0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5" xfId="0" applyFill="1" applyBorder="1"/>
    <xf numFmtId="0" fontId="0" fillId="0" borderId="2" xfId="0" applyFill="1" applyBorder="1"/>
    <xf numFmtId="4" fontId="3" fillId="0" borderId="1" xfId="0" applyNumberFormat="1" applyFont="1" applyFill="1" applyBorder="1"/>
    <xf numFmtId="4" fontId="8" fillId="0" borderId="0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/>
    <xf numFmtId="4" fontId="0" fillId="0" borderId="5" xfId="0" applyNumberFormat="1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5" xfId="0" applyFill="1" applyBorder="1" applyAlignment="1">
      <alignment horizontal="right"/>
    </xf>
    <xf numFmtId="0" fontId="0" fillId="0" borderId="4" xfId="0" applyFont="1" applyFill="1" applyBorder="1"/>
    <xf numFmtId="0" fontId="1" fillId="0" borderId="8" xfId="0" applyFont="1" applyFill="1" applyBorder="1" applyAlignment="1">
      <alignment horizontal="right"/>
    </xf>
    <xf numFmtId="0" fontId="0" fillId="0" borderId="8" xfId="0" applyFill="1" applyBorder="1"/>
    <xf numFmtId="0" fontId="0" fillId="0" borderId="9" xfId="0" applyFill="1" applyBorder="1"/>
    <xf numFmtId="0" fontId="0" fillId="0" borderId="6" xfId="0" applyFill="1" applyBorder="1"/>
    <xf numFmtId="0" fontId="1" fillId="0" borderId="6" xfId="0" applyFont="1" applyFill="1" applyBorder="1"/>
    <xf numFmtId="0" fontId="0" fillId="0" borderId="7" xfId="0" applyFont="1" applyFill="1" applyBorder="1"/>
    <xf numFmtId="4" fontId="8" fillId="0" borderId="4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/>
    <xf numFmtId="0" fontId="1" fillId="0" borderId="5" xfId="0" applyFont="1" applyFill="1" applyBorder="1"/>
    <xf numFmtId="4" fontId="8" fillId="0" borderId="5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10" xfId="0" applyFill="1" applyBorder="1"/>
    <xf numFmtId="4" fontId="0" fillId="0" borderId="12" xfId="0" applyNumberFormat="1" applyFill="1" applyBorder="1"/>
  </cellXfs>
  <cellStyles count="10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  <cellStyle name="Просмотренная гиперссылка" xfId="56" builtinId="9" hidden="1"/>
    <cellStyle name="Просмотренная гиперссылка" xfId="58" builtinId="9" hidden="1"/>
    <cellStyle name="Просмотренная гиперссылка" xfId="60" builtinId="9" hidden="1"/>
    <cellStyle name="Просмотренная гиперссылка" xfId="62" builtinId="9" hidden="1"/>
    <cellStyle name="Просмотренная гиперссылка" xfId="64" builtinId="9" hidden="1"/>
    <cellStyle name="Просмотренная гиперссылка" xfId="66" builtinId="9" hidden="1"/>
    <cellStyle name="Просмотренная гиперссылка" xfId="68" builtinId="9" hidden="1"/>
    <cellStyle name="Просмотренная гиперссылка" xfId="70" builtinId="9" hidden="1"/>
    <cellStyle name="Просмотренная гиперссылка" xfId="72" builtinId="9" hidden="1"/>
    <cellStyle name="Просмотренная гиперссылка" xfId="74" builtinId="9" hidden="1"/>
    <cellStyle name="Просмотренная гиперссылка" xfId="76" builtinId="9" hidden="1"/>
    <cellStyle name="Просмотренная гиперссылка" xfId="78" builtinId="9" hidden="1"/>
    <cellStyle name="Просмотренная гиперссылка" xfId="80" builtinId="9" hidden="1"/>
    <cellStyle name="Просмотренная гиперссылка" xfId="82" builtinId="9" hidden="1"/>
    <cellStyle name="Просмотренная гиперссылка" xfId="84" builtinId="9" hidden="1"/>
    <cellStyle name="Просмотренная гиперссылка" xfId="86" builtinId="9" hidden="1"/>
    <cellStyle name="Просмотренная гиперссылка" xfId="88" builtinId="9" hidden="1"/>
    <cellStyle name="Просмотренная гиперссылка" xfId="90" builtinId="9" hidden="1"/>
    <cellStyle name="Просмотренная гиперссылка" xfId="92" builtinId="9" hidden="1"/>
    <cellStyle name="Просмотренная гиперссылка" xfId="94" builtinId="9" hidden="1"/>
    <cellStyle name="Просмотренная гиперссылка" xfId="96" builtinId="9" hidden="1"/>
    <cellStyle name="Просмотренная гиперссылка" xfId="98" builtinId="9" hidden="1"/>
    <cellStyle name="Просмотренная гиперссылка" xfId="100" builtinId="9" hidden="1"/>
    <cellStyle name="Просмотренная гиперссылка" xfId="102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125" zoomScaleNormal="125" zoomScalePageLayoutView="125" workbookViewId="0">
      <selection activeCell="G51" sqref="G51"/>
    </sheetView>
  </sheetViews>
  <sheetFormatPr baseColWidth="10" defaultColWidth="8.83203125" defaultRowHeight="14" x14ac:dyDescent="0"/>
  <cols>
    <col min="1" max="1" width="5.1640625" style="8" customWidth="1"/>
    <col min="2" max="2" width="55.1640625" style="8" customWidth="1"/>
    <col min="3" max="3" width="7.6640625" style="8" customWidth="1"/>
    <col min="4" max="4" width="10" style="8" customWidth="1"/>
    <col min="5" max="5" width="11.33203125" style="8" customWidth="1"/>
    <col min="6" max="6" width="12.6640625" style="8" customWidth="1"/>
    <col min="7" max="7" width="13" style="8" customWidth="1"/>
    <col min="8" max="8" width="8.83203125" style="8"/>
    <col min="9" max="9" width="9.5" style="8" bestFit="1" customWidth="1"/>
    <col min="10" max="16384" width="8.83203125" style="8"/>
  </cols>
  <sheetData>
    <row r="1" spans="1:9" ht="38" customHeight="1">
      <c r="B1" s="42" t="s">
        <v>53</v>
      </c>
      <c r="C1" s="42"/>
      <c r="D1" s="42"/>
      <c r="E1" s="42"/>
      <c r="F1" s="42"/>
      <c r="G1" s="42"/>
      <c r="H1" s="9"/>
      <c r="I1" s="9"/>
    </row>
    <row r="2" spans="1:9" ht="42" customHeight="1">
      <c r="A2" s="10" t="s">
        <v>7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9">
      <c r="A3" s="3">
        <v>1</v>
      </c>
      <c r="B3" s="3" t="s">
        <v>8</v>
      </c>
      <c r="C3" s="1"/>
      <c r="D3" s="1"/>
      <c r="E3" s="1"/>
      <c r="F3" s="1"/>
      <c r="G3" s="2"/>
    </row>
    <row r="4" spans="1:9">
      <c r="A4" s="11"/>
      <c r="B4" s="12" t="s">
        <v>21</v>
      </c>
      <c r="C4" s="12"/>
      <c r="D4" s="12"/>
      <c r="E4" s="12"/>
      <c r="F4" s="12"/>
      <c r="G4" s="13"/>
    </row>
    <row r="5" spans="1:9">
      <c r="A5" s="11"/>
      <c r="B5" s="12" t="s">
        <v>22</v>
      </c>
      <c r="C5" s="12"/>
      <c r="D5" s="12"/>
      <c r="E5" s="12"/>
      <c r="F5" s="12"/>
      <c r="G5" s="13"/>
    </row>
    <row r="6" spans="1:9">
      <c r="A6" s="11"/>
      <c r="B6" s="12" t="s">
        <v>23</v>
      </c>
      <c r="C6" s="12"/>
      <c r="D6" s="12"/>
      <c r="E6" s="12"/>
      <c r="F6" s="12"/>
      <c r="G6" s="14">
        <f>2.8*3275.75*12</f>
        <v>110065.19999999998</v>
      </c>
    </row>
    <row r="7" spans="1:9">
      <c r="A7" s="1"/>
      <c r="B7" s="12" t="s">
        <v>24</v>
      </c>
      <c r="C7" s="12"/>
      <c r="D7" s="12"/>
      <c r="E7" s="12"/>
      <c r="F7" s="12"/>
      <c r="G7" s="14">
        <f>0.2*3275.75*12</f>
        <v>7861.8000000000011</v>
      </c>
    </row>
    <row r="8" spans="1:9">
      <c r="A8" s="1"/>
      <c r="B8" s="18" t="s">
        <v>38</v>
      </c>
      <c r="C8" s="12"/>
      <c r="D8" s="12"/>
      <c r="E8" s="12"/>
      <c r="F8" s="12"/>
      <c r="G8" s="14">
        <f>1.01*3275.75*12</f>
        <v>39702.090000000004</v>
      </c>
    </row>
    <row r="9" spans="1:9">
      <c r="A9" s="1"/>
      <c r="B9" s="18" t="s">
        <v>40</v>
      </c>
      <c r="C9" s="12"/>
      <c r="D9" s="12"/>
      <c r="E9" s="12"/>
      <c r="F9" s="12"/>
      <c r="G9" s="14">
        <f>1.03*3275.75*12</f>
        <v>40488.270000000004</v>
      </c>
    </row>
    <row r="10" spans="1:9">
      <c r="A10" s="1"/>
      <c r="B10" s="18" t="s">
        <v>39</v>
      </c>
      <c r="C10" s="12"/>
      <c r="D10" s="12"/>
      <c r="E10" s="12"/>
      <c r="F10" s="12"/>
      <c r="G10" s="14">
        <f>0.1*3275.75*12</f>
        <v>3930.9000000000005</v>
      </c>
    </row>
    <row r="11" spans="1:9">
      <c r="A11" s="1"/>
      <c r="B11" s="12" t="s">
        <v>58</v>
      </c>
      <c r="C11" s="12"/>
      <c r="D11" s="12"/>
      <c r="E11" s="12"/>
      <c r="F11" s="12"/>
      <c r="G11" s="14">
        <f>0.12*3275.75*12</f>
        <v>4717.08</v>
      </c>
    </row>
    <row r="12" spans="1:9">
      <c r="A12" s="3">
        <v>2</v>
      </c>
      <c r="B12" s="15" t="s">
        <v>26</v>
      </c>
      <c r="C12" s="16"/>
      <c r="D12" s="16"/>
      <c r="E12" s="16"/>
      <c r="F12" s="16"/>
      <c r="G12" s="17"/>
    </row>
    <row r="13" spans="1:9">
      <c r="A13" s="1"/>
      <c r="B13" s="18" t="s">
        <v>27</v>
      </c>
      <c r="C13" s="18"/>
      <c r="D13" s="12"/>
      <c r="E13" s="12"/>
      <c r="F13" s="12"/>
      <c r="G13" s="14">
        <f>1.17*3275.75*12</f>
        <v>45991.53</v>
      </c>
      <c r="I13" s="24"/>
    </row>
    <row r="14" spans="1:9">
      <c r="A14" s="3">
        <v>3</v>
      </c>
      <c r="B14" s="15" t="s">
        <v>25</v>
      </c>
      <c r="C14" s="16"/>
      <c r="D14" s="16"/>
      <c r="E14" s="16"/>
      <c r="F14" s="16"/>
      <c r="G14" s="17"/>
    </row>
    <row r="15" spans="1:9">
      <c r="A15" s="1"/>
      <c r="B15" s="18" t="s">
        <v>28</v>
      </c>
      <c r="C15" s="18"/>
      <c r="D15" s="12"/>
      <c r="E15" s="12"/>
      <c r="F15" s="12"/>
      <c r="G15" s="14">
        <f>0.1*3275.75*12</f>
        <v>3930.9000000000005</v>
      </c>
    </row>
    <row r="16" spans="1:9">
      <c r="A16" s="1"/>
      <c r="B16" s="18" t="s">
        <v>41</v>
      </c>
      <c r="C16" s="16"/>
      <c r="D16" s="16"/>
      <c r="E16" s="16"/>
      <c r="F16" s="12"/>
      <c r="G16" s="14">
        <f>0.1*3275.75*12</f>
        <v>3930.9000000000005</v>
      </c>
    </row>
    <row r="17" spans="1:7">
      <c r="A17" s="1"/>
      <c r="B17" s="19" t="s">
        <v>29</v>
      </c>
      <c r="C17" s="18"/>
      <c r="D17" s="16"/>
      <c r="E17" s="16"/>
      <c r="F17" s="30"/>
      <c r="G17" s="20">
        <f>SUM(G6:G16)</f>
        <v>260618.66999999995</v>
      </c>
    </row>
    <row r="18" spans="1:7">
      <c r="A18" s="3">
        <v>2</v>
      </c>
      <c r="B18" s="43" t="s">
        <v>9</v>
      </c>
      <c r="C18" s="44"/>
      <c r="D18" s="44"/>
      <c r="E18" s="44"/>
      <c r="F18" s="44"/>
      <c r="G18" s="45"/>
    </row>
    <row r="19" spans="1:7">
      <c r="A19" s="1"/>
      <c r="B19" s="3" t="s">
        <v>17</v>
      </c>
      <c r="C19" s="1"/>
      <c r="D19" s="21"/>
      <c r="E19" s="1"/>
      <c r="F19" s="1"/>
      <c r="G19" s="1"/>
    </row>
    <row r="20" spans="1:7">
      <c r="A20" s="1"/>
      <c r="B20" s="1" t="s">
        <v>16</v>
      </c>
      <c r="C20" s="22" t="s">
        <v>10</v>
      </c>
      <c r="D20" s="6">
        <v>459.2</v>
      </c>
      <c r="E20" s="14">
        <f>2.82*3275.75*12</f>
        <v>110851.38</v>
      </c>
      <c r="F20" s="1">
        <f>79.12+71.64+27+29.72+29.51+25.56+90.2+25.56+145+25.56</f>
        <v>548.86999999999989</v>
      </c>
      <c r="G20" s="1">
        <f>F20+E20</f>
        <v>111400.25</v>
      </c>
    </row>
    <row r="21" spans="1:7">
      <c r="A21" s="1"/>
      <c r="B21" s="1" t="s">
        <v>34</v>
      </c>
      <c r="C21" s="22" t="s">
        <v>10</v>
      </c>
      <c r="D21" s="6">
        <v>459.2</v>
      </c>
      <c r="E21" s="14">
        <f>0.35*3275.75*12</f>
        <v>13758.149999999998</v>
      </c>
      <c r="F21" s="1"/>
      <c r="G21" s="1">
        <f>E21</f>
        <v>13758.149999999998</v>
      </c>
    </row>
    <row r="22" spans="1:7">
      <c r="A22" s="1"/>
      <c r="B22" s="1" t="s">
        <v>11</v>
      </c>
      <c r="C22" s="22" t="s">
        <v>10</v>
      </c>
      <c r="D22" s="6"/>
      <c r="E22" s="14">
        <f>0.08*3275.75*12</f>
        <v>3144.7200000000003</v>
      </c>
      <c r="F22" s="1"/>
      <c r="G22" s="14">
        <f>E22</f>
        <v>3144.7200000000003</v>
      </c>
    </row>
    <row r="23" spans="1:7">
      <c r="A23" s="1"/>
      <c r="B23" s="1" t="s">
        <v>30</v>
      </c>
      <c r="C23" s="22" t="s">
        <v>10</v>
      </c>
      <c r="D23" s="6"/>
      <c r="E23" s="14">
        <f>0.4*3275.75*12</f>
        <v>15723.600000000002</v>
      </c>
      <c r="F23" s="1"/>
      <c r="G23" s="14">
        <f>E23</f>
        <v>15723.600000000002</v>
      </c>
    </row>
    <row r="24" spans="1:7">
      <c r="A24" s="1"/>
      <c r="B24" s="3" t="s">
        <v>18</v>
      </c>
      <c r="C24" s="22"/>
      <c r="D24" s="5"/>
      <c r="E24" s="4"/>
      <c r="F24" s="1"/>
      <c r="G24" s="1"/>
    </row>
    <row r="25" spans="1:7">
      <c r="A25" s="1"/>
      <c r="B25" s="1" t="s">
        <v>12</v>
      </c>
      <c r="C25" s="22" t="s">
        <v>10</v>
      </c>
      <c r="D25" s="6">
        <v>2920.17</v>
      </c>
      <c r="E25" s="14">
        <f>(0.89+0.8)*3275.75*12</f>
        <v>66432.209999999992</v>
      </c>
      <c r="F25" s="1">
        <f>51.8+103.6+399+48+41.44+150+40+41.44+8+24+103.6</f>
        <v>1010.88</v>
      </c>
      <c r="G25" s="1">
        <f>F25+E25</f>
        <v>67443.09</v>
      </c>
    </row>
    <row r="26" spans="1:7">
      <c r="A26" s="1"/>
      <c r="B26" s="1" t="s">
        <v>15</v>
      </c>
      <c r="C26" s="22" t="s">
        <v>10</v>
      </c>
      <c r="D26" s="7"/>
      <c r="E26" s="14">
        <f>0.45*3275.75*12</f>
        <v>17689.050000000003</v>
      </c>
      <c r="F26" s="2">
        <f>41.95+650+5.74+35+320+4+41.45+17.22+10+82.72+980+20+38</f>
        <v>2246.08</v>
      </c>
      <c r="G26" s="23">
        <f>F26+E26</f>
        <v>19935.130000000005</v>
      </c>
    </row>
    <row r="27" spans="1:7">
      <c r="A27" s="1"/>
      <c r="B27" s="1" t="s">
        <v>35</v>
      </c>
      <c r="C27" s="22" t="s">
        <v>10</v>
      </c>
      <c r="D27" s="7"/>
      <c r="E27" s="14">
        <f>(0.22+0.14)*3275.75*12</f>
        <v>14151.24</v>
      </c>
      <c r="F27" s="2"/>
      <c r="G27" s="23">
        <f>E27</f>
        <v>14151.24</v>
      </c>
    </row>
    <row r="28" spans="1:7">
      <c r="A28" s="1"/>
      <c r="B28" s="1" t="s">
        <v>36</v>
      </c>
      <c r="C28" s="22" t="s">
        <v>10</v>
      </c>
      <c r="D28" s="7"/>
      <c r="E28" s="14">
        <f>(0.01+0.01)*3275.75*12</f>
        <v>786.18000000000006</v>
      </c>
      <c r="F28" s="2"/>
      <c r="G28" s="23">
        <f>E28</f>
        <v>786.18000000000006</v>
      </c>
    </row>
    <row r="29" spans="1:7">
      <c r="A29" s="1"/>
      <c r="B29" s="3" t="s">
        <v>19</v>
      </c>
      <c r="C29" s="1"/>
      <c r="D29" s="1"/>
      <c r="E29" s="1"/>
      <c r="F29" s="1"/>
      <c r="G29" s="1"/>
    </row>
    <row r="30" spans="1:7">
      <c r="A30" s="1"/>
      <c r="B30" s="1" t="s">
        <v>13</v>
      </c>
      <c r="C30" s="21"/>
      <c r="D30" s="21"/>
      <c r="E30" s="40">
        <f>4.5*3275.75*12</f>
        <v>176890.5</v>
      </c>
      <c r="F30" s="26"/>
      <c r="G30" s="14">
        <f>4.42*3212.6*12</f>
        <v>170396.304</v>
      </c>
    </row>
    <row r="31" spans="1:7">
      <c r="A31" s="1"/>
      <c r="B31" s="31" t="s">
        <v>29</v>
      </c>
      <c r="C31" s="32"/>
      <c r="D31" s="33"/>
      <c r="E31" s="33"/>
      <c r="F31" s="34"/>
      <c r="G31" s="25">
        <f>SUM(G20:G30)</f>
        <v>416738.66399999999</v>
      </c>
    </row>
    <row r="32" spans="1:7">
      <c r="A32" s="22"/>
      <c r="B32" s="15" t="s">
        <v>20</v>
      </c>
      <c r="C32" s="28"/>
      <c r="D32" s="28"/>
      <c r="E32" s="28"/>
      <c r="F32" s="28"/>
      <c r="G32" s="4"/>
    </row>
    <row r="33" spans="1:7">
      <c r="A33" s="1"/>
      <c r="B33" s="27" t="s">
        <v>31</v>
      </c>
      <c r="C33" s="27" t="s">
        <v>32</v>
      </c>
      <c r="D33" s="27">
        <v>35</v>
      </c>
      <c r="E33" s="46"/>
      <c r="F33" s="27">
        <f>55+95.33+980+340+42+320+35.1+108+126+216+220+23.62+162+32+450+144</f>
        <v>3349.0499999999997</v>
      </c>
      <c r="G33" s="27">
        <f>F33</f>
        <v>3349.0499999999997</v>
      </c>
    </row>
    <row r="34" spans="1:7">
      <c r="A34" s="1"/>
      <c r="B34" s="1" t="s">
        <v>47</v>
      </c>
      <c r="C34" s="1" t="s">
        <v>48</v>
      </c>
      <c r="D34" s="1">
        <v>2</v>
      </c>
      <c r="E34" s="22"/>
      <c r="F34" s="1">
        <v>125</v>
      </c>
      <c r="G34" s="1">
        <f t="shared" ref="G34:G38" si="0">F34</f>
        <v>125</v>
      </c>
    </row>
    <row r="35" spans="1:7">
      <c r="A35" s="1"/>
      <c r="B35" s="1" t="s">
        <v>49</v>
      </c>
      <c r="C35" s="1" t="s">
        <v>48</v>
      </c>
      <c r="D35" s="1">
        <v>4</v>
      </c>
      <c r="E35" s="22"/>
      <c r="F35" s="1">
        <f>288</f>
        <v>288</v>
      </c>
      <c r="G35" s="1">
        <f t="shared" si="0"/>
        <v>288</v>
      </c>
    </row>
    <row r="36" spans="1:7">
      <c r="A36" s="1"/>
      <c r="B36" s="1" t="s">
        <v>50</v>
      </c>
      <c r="C36" s="1" t="s">
        <v>32</v>
      </c>
      <c r="D36" s="1">
        <v>1</v>
      </c>
      <c r="E36" s="22"/>
      <c r="F36" s="1">
        <f>18+48+2645+1120+34</f>
        <v>3865</v>
      </c>
      <c r="G36" s="1">
        <f t="shared" si="0"/>
        <v>3865</v>
      </c>
    </row>
    <row r="37" spans="1:7">
      <c r="A37" s="1"/>
      <c r="B37" s="1" t="s">
        <v>51</v>
      </c>
      <c r="C37" s="1" t="s">
        <v>32</v>
      </c>
      <c r="D37" s="1">
        <v>1</v>
      </c>
      <c r="E37" s="22"/>
      <c r="F37" s="1">
        <f>40+178+24+192+150+399.6+1200+1200+84+25+24+2449.5+3869.5+60+8079.5+58.6+26.7</f>
        <v>18060.399999999998</v>
      </c>
      <c r="G37" s="1">
        <f t="shared" si="0"/>
        <v>18060.399999999998</v>
      </c>
    </row>
    <row r="38" spans="1:7">
      <c r="A38" s="1"/>
      <c r="B38" s="1" t="s">
        <v>52</v>
      </c>
      <c r="C38" s="1" t="s">
        <v>32</v>
      </c>
      <c r="D38" s="1">
        <v>3</v>
      </c>
      <c r="E38" s="1"/>
      <c r="F38" s="1">
        <v>4500</v>
      </c>
      <c r="G38" s="1">
        <f t="shared" si="0"/>
        <v>4500</v>
      </c>
    </row>
    <row r="39" spans="1:7">
      <c r="A39" s="1"/>
      <c r="B39" s="1" t="s">
        <v>55</v>
      </c>
      <c r="C39" s="1" t="s">
        <v>10</v>
      </c>
      <c r="D39" s="1">
        <v>10</v>
      </c>
      <c r="E39" s="1"/>
      <c r="F39" s="1">
        <f>65+44.01+245</f>
        <v>354.01</v>
      </c>
      <c r="G39" s="1">
        <f t="shared" ref="G39" si="1">F39</f>
        <v>354.01</v>
      </c>
    </row>
    <row r="40" spans="1:7">
      <c r="A40" s="1"/>
      <c r="B40" s="1" t="s">
        <v>56</v>
      </c>
      <c r="C40" s="21" t="s">
        <v>32</v>
      </c>
      <c r="D40" s="21">
        <v>1</v>
      </c>
      <c r="E40" s="21"/>
      <c r="F40" s="21">
        <v>110</v>
      </c>
      <c r="G40" s="1">
        <f>F40</f>
        <v>110</v>
      </c>
    </row>
    <row r="41" spans="1:7">
      <c r="A41" s="1"/>
      <c r="B41" s="31" t="s">
        <v>29</v>
      </c>
      <c r="C41" s="32"/>
      <c r="D41" s="33"/>
      <c r="E41" s="33"/>
      <c r="F41" s="34"/>
      <c r="G41" s="35">
        <f>SUM(G33:G40)</f>
        <v>30651.459999999995</v>
      </c>
    </row>
    <row r="42" spans="1:7">
      <c r="A42" s="15">
        <v>9</v>
      </c>
      <c r="B42" s="15" t="s">
        <v>14</v>
      </c>
      <c r="C42" s="28"/>
      <c r="D42" s="28"/>
      <c r="E42" s="28"/>
      <c r="F42" s="28"/>
      <c r="G42" s="4"/>
    </row>
    <row r="43" spans="1:7">
      <c r="A43" s="1"/>
      <c r="B43" s="36" t="s">
        <v>0</v>
      </c>
      <c r="C43" s="27"/>
      <c r="D43" s="27"/>
      <c r="E43" s="27"/>
      <c r="F43" s="27"/>
      <c r="G43" s="41">
        <f>1.15*3275.75*12</f>
        <v>45205.35</v>
      </c>
    </row>
    <row r="44" spans="1:7">
      <c r="A44" s="3">
        <v>10</v>
      </c>
      <c r="B44" s="39" t="s">
        <v>37</v>
      </c>
      <c r="C44" s="21"/>
      <c r="D44" s="21"/>
      <c r="E44" s="21"/>
      <c r="F44" s="21"/>
      <c r="G44" s="40">
        <f>5*3275.75*12</f>
        <v>196545</v>
      </c>
    </row>
    <row r="45" spans="1:7">
      <c r="A45" s="15">
        <v>11</v>
      </c>
      <c r="B45" s="3" t="s">
        <v>42</v>
      </c>
      <c r="C45" s="28"/>
      <c r="D45" s="28"/>
      <c r="E45" s="28"/>
      <c r="F45" s="28"/>
      <c r="G45" s="37"/>
    </row>
    <row r="46" spans="1:7">
      <c r="A46" s="3"/>
      <c r="B46" s="36" t="s">
        <v>43</v>
      </c>
      <c r="C46" s="27"/>
      <c r="D46" s="27"/>
      <c r="E46" s="27"/>
      <c r="F46" s="27"/>
      <c r="G46" s="41">
        <f>0.18*3275.75*12</f>
        <v>7075.62</v>
      </c>
    </row>
    <row r="47" spans="1:7">
      <c r="A47" s="3"/>
      <c r="B47" s="12" t="s">
        <v>44</v>
      </c>
      <c r="C47" s="1"/>
      <c r="D47" s="1"/>
      <c r="E47" s="1"/>
      <c r="F47" s="1"/>
      <c r="G47" s="14">
        <f>1.29*3275.75*12</f>
        <v>50708.61</v>
      </c>
    </row>
    <row r="48" spans="1:7">
      <c r="A48" s="3">
        <v>12</v>
      </c>
      <c r="B48" s="3" t="s">
        <v>45</v>
      </c>
      <c r="C48" s="1"/>
      <c r="D48" s="1"/>
      <c r="E48" s="1"/>
      <c r="F48" s="1"/>
      <c r="G48" s="14"/>
    </row>
    <row r="49" spans="1:7">
      <c r="A49" s="3"/>
      <c r="B49" s="12" t="s">
        <v>46</v>
      </c>
      <c r="C49" s="21"/>
      <c r="D49" s="21"/>
      <c r="E49" s="29" t="s">
        <v>57</v>
      </c>
      <c r="F49" s="21">
        <f>0.32*3275.75*12</f>
        <v>12578.880000000001</v>
      </c>
      <c r="G49" s="14"/>
    </row>
    <row r="50" spans="1:7" ht="15" thickBot="1">
      <c r="A50" s="1"/>
      <c r="B50" s="19" t="s">
        <v>29</v>
      </c>
      <c r="C50" s="32"/>
      <c r="D50" s="33"/>
      <c r="E50" s="33"/>
      <c r="F50" s="34"/>
      <c r="G50" s="25">
        <f>SUM(G43:G49)</f>
        <v>299534.58</v>
      </c>
    </row>
    <row r="51" spans="1:7" ht="37" customHeight="1" thickBot="1">
      <c r="A51" s="1"/>
      <c r="B51" s="15" t="s">
        <v>54</v>
      </c>
      <c r="C51" s="32"/>
      <c r="D51" s="33"/>
      <c r="E51" s="33"/>
      <c r="F51" s="33"/>
      <c r="G51" s="38">
        <f>G50+G41+G31+G17</f>
        <v>1007543.374</v>
      </c>
    </row>
    <row r="52" spans="1:7" ht="36" customHeight="1">
      <c r="A52" s="1"/>
      <c r="B52" s="15" t="s">
        <v>33</v>
      </c>
      <c r="C52" s="22"/>
      <c r="D52" s="28"/>
      <c r="E52" s="28"/>
      <c r="F52" s="4"/>
      <c r="G52" s="47">
        <v>99120.19</v>
      </c>
    </row>
  </sheetData>
  <mergeCells count="2">
    <mergeCell ref="B1:G1"/>
    <mergeCell ref="B18:G18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2019-06-10T06:12:44Z</cp:lastPrinted>
  <dcterms:created xsi:type="dcterms:W3CDTF">2006-09-16T00:00:00Z</dcterms:created>
  <dcterms:modified xsi:type="dcterms:W3CDTF">2019-06-11T04:23:40Z</dcterms:modified>
</cp:coreProperties>
</file>